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oldstein\Dropbox\Fin 3560\2025 Spring 3560\"/>
    </mc:Choice>
  </mc:AlternateContent>
  <xr:revisionPtr revIDLastSave="0" documentId="8_{7569C999-A9C4-4573-8044-6B6C9D3EED9F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STOCK Example" sheetId="2" r:id="rId1"/>
    <sheet name="Duration of Asse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F36" i="1"/>
  <c r="K17" i="1"/>
  <c r="L17" i="1" s="1"/>
  <c r="L18" i="1" s="1"/>
  <c r="N19" i="1"/>
  <c r="M19" i="1"/>
  <c r="L19" i="1"/>
  <c r="K19" i="1"/>
  <c r="J31" i="1"/>
  <c r="L8" i="1"/>
  <c r="M8" i="1" s="1"/>
  <c r="J10" i="1"/>
  <c r="J8" i="1" s="1"/>
  <c r="B13" i="2"/>
  <c r="E13" i="2"/>
  <c r="B8" i="1"/>
  <c r="B12" i="1" s="1"/>
  <c r="D17" i="1" s="1"/>
  <c r="B32" i="1"/>
  <c r="E19" i="2"/>
  <c r="B19" i="2"/>
  <c r="E12" i="2"/>
  <c r="B12" i="2"/>
  <c r="E5" i="2"/>
  <c r="B5" i="2"/>
  <c r="M12" i="1" l="1"/>
  <c r="K30" i="1" s="1"/>
  <c r="J32" i="1"/>
  <c r="K31" i="1"/>
  <c r="N17" i="1"/>
  <c r="K18" i="1"/>
  <c r="K22" i="1" s="1"/>
  <c r="L21" i="1"/>
  <c r="L22" i="1"/>
  <c r="M17" i="1"/>
  <c r="M18" i="1" s="1"/>
  <c r="K21" i="1"/>
  <c r="H17" i="1"/>
  <c r="H18" i="1" s="1"/>
  <c r="E17" i="1"/>
  <c r="E18" i="1" s="1"/>
  <c r="G17" i="1"/>
  <c r="G18" i="1" s="1"/>
  <c r="F17" i="1"/>
  <c r="F18" i="1" s="1"/>
  <c r="H19" i="1"/>
  <c r="G19" i="1"/>
  <c r="F19" i="1"/>
  <c r="E19" i="1"/>
  <c r="D19" i="1"/>
  <c r="D18" i="1"/>
  <c r="H21" i="1" l="1"/>
  <c r="M29" i="1"/>
  <c r="N29" i="1" s="1"/>
  <c r="G21" i="1"/>
  <c r="M30" i="1"/>
  <c r="N18" i="1"/>
  <c r="N22" i="1" s="1"/>
  <c r="N21" i="1"/>
  <c r="M22" i="1"/>
  <c r="M21" i="1"/>
  <c r="E22" i="1"/>
  <c r="D22" i="1"/>
  <c r="F22" i="1"/>
  <c r="E21" i="1"/>
  <c r="D21" i="1"/>
  <c r="G22" i="1"/>
  <c r="H22" i="1"/>
  <c r="F21" i="1"/>
  <c r="J21" i="1" l="1"/>
  <c r="J22" i="1"/>
  <c r="J24" i="1" s="1"/>
  <c r="L30" i="1" s="1"/>
  <c r="N30" i="1" s="1"/>
  <c r="O30" i="1" s="1"/>
  <c r="C22" i="1"/>
  <c r="C21" i="1"/>
  <c r="C31" i="1" s="1"/>
  <c r="C32" i="1" l="1"/>
  <c r="C24" i="1"/>
  <c r="D31" i="1" s="1"/>
  <c r="E31" i="1" l="1"/>
  <c r="F31" i="1" s="1"/>
  <c r="K32" i="1"/>
  <c r="C42" i="1" s="1"/>
  <c r="K36" i="1"/>
  <c r="L36" i="1" s="1"/>
  <c r="E30" i="1"/>
  <c r="F30" i="1" s="1"/>
  <c r="E29" i="1"/>
  <c r="F29" i="1" l="1"/>
  <c r="F32" i="1" s="1"/>
  <c r="E32" i="1"/>
  <c r="F34" i="1" l="1"/>
  <c r="C41" i="1" s="1"/>
  <c r="E41" i="1"/>
</calcChain>
</file>

<file path=xl/sharedStrings.xml><?xml version="1.0" encoding="utf-8"?>
<sst xmlns="http://schemas.openxmlformats.org/spreadsheetml/2006/main" count="74" uniqueCount="41">
  <si>
    <t>Div0</t>
  </si>
  <si>
    <t>one year growth</t>
  </si>
  <si>
    <t>discount rate EAR</t>
  </si>
  <si>
    <t>infinite Growth</t>
  </si>
  <si>
    <t>Price:</t>
  </si>
  <si>
    <t>Book Value</t>
  </si>
  <si>
    <t>Mkt Value</t>
  </si>
  <si>
    <t>discount rate</t>
  </si>
  <si>
    <t>cash</t>
  </si>
  <si>
    <t>1 year t-bill</t>
  </si>
  <si>
    <t>5 year amort</t>
  </si>
  <si>
    <t>5 year amortizing</t>
  </si>
  <si>
    <t>PV</t>
  </si>
  <si>
    <t>FV</t>
  </si>
  <si>
    <t>N</t>
  </si>
  <si>
    <t>Pmt</t>
  </si>
  <si>
    <t>Int rate</t>
  </si>
  <si>
    <t>Total Assets</t>
  </si>
  <si>
    <t>Duration</t>
  </si>
  <si>
    <t>PV of amort</t>
  </si>
  <si>
    <t>CashFlow*N</t>
  </si>
  <si>
    <t>weights</t>
  </si>
  <si>
    <t>Weighted Duration</t>
  </si>
  <si>
    <t>Duration of loan:</t>
  </si>
  <si>
    <t>Duration of Assets:</t>
  </si>
  <si>
    <t>ASSETS</t>
  </si>
  <si>
    <t>LIABILITIES and Equity</t>
  </si>
  <si>
    <t>demand deposit</t>
  </si>
  <si>
    <t>4 year bond</t>
  </si>
  <si>
    <t>Equity</t>
  </si>
  <si>
    <t>pmt</t>
  </si>
  <si>
    <t xml:space="preserve"> total liabilty</t>
  </si>
  <si>
    <t>4 year 4.9% annual coupon bond</t>
  </si>
  <si>
    <t xml:space="preserve">suppose int rates increase from </t>
  </si>
  <si>
    <t>to</t>
  </si>
  <si>
    <t>how much does the equity of this bank change?</t>
  </si>
  <si>
    <t>delta E</t>
  </si>
  <si>
    <t xml:space="preserve"> Assets are $200 million in cash, $300 million in one year U.S. Treasury Bills, and $500 million in a five year fully amortizing loan that has a 7% interest rate.</t>
  </si>
  <si>
    <t xml:space="preserve">Assume you have a bank. </t>
  </si>
  <si>
    <t>Liabilities are $300 million in demand deposits and $600 million of a 4 year, 4.9% annual coupon bond with a face value of $1000.</t>
  </si>
  <si>
    <t>By how much will the value of equity change if interest rates go from 10% to 12%?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</si>
</sst>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0000_);_(&quot;$&quot;* \(#,##0.0000000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0" applyNumberFormat="1"/>
    <xf numFmtId="0" fontId="0" fillId="2" borderId="0" xfId="0" applyFill="1"/>
    <xf numFmtId="44" fontId="2" fillId="2" borderId="0" xfId="1" applyFont="1" applyFill="1"/>
    <xf numFmtId="8" fontId="0" fillId="0" borderId="0" xfId="0" applyNumberFormat="1"/>
    <xf numFmtId="9" fontId="0" fillId="0" borderId="0" xfId="2" applyFont="1"/>
    <xf numFmtId="44" fontId="0" fillId="0" borderId="0" xfId="1" applyFont="1"/>
    <xf numFmtId="164" fontId="0" fillId="0" borderId="0" xfId="1" applyNumberFormat="1" applyFont="1"/>
    <xf numFmtId="164" fontId="0" fillId="0" borderId="0" xfId="0" applyNumberFormat="1"/>
    <xf numFmtId="165" fontId="0" fillId="0" borderId="0" xfId="3" applyNumberFormat="1" applyFont="1"/>
    <xf numFmtId="166" fontId="0" fillId="0" borderId="0" xfId="0" applyNumberForma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zoomScale="126" zoomScaleNormal="126" workbookViewId="0">
      <selection activeCell="B14" sqref="B14"/>
    </sheetView>
  </sheetViews>
  <sheetFormatPr defaultRowHeight="14.4" x14ac:dyDescent="0.3"/>
  <cols>
    <col min="1" max="1" width="18" customWidth="1"/>
    <col min="4" max="4" width="19.21875" customWidth="1"/>
  </cols>
  <sheetData>
    <row r="1" spans="1:5" x14ac:dyDescent="0.3">
      <c r="A1" t="s">
        <v>0</v>
      </c>
      <c r="B1">
        <v>3</v>
      </c>
      <c r="D1" t="s">
        <v>0</v>
      </c>
      <c r="E1">
        <v>3</v>
      </c>
    </row>
    <row r="2" spans="1:5" x14ac:dyDescent="0.3">
      <c r="A2" t="s">
        <v>1</v>
      </c>
      <c r="B2" s="1">
        <v>0.05</v>
      </c>
      <c r="D2" t="s">
        <v>1</v>
      </c>
      <c r="E2" s="1">
        <v>0</v>
      </c>
    </row>
    <row r="3" spans="1:5" x14ac:dyDescent="0.3">
      <c r="A3" t="s">
        <v>2</v>
      </c>
      <c r="B3" s="1">
        <v>0.09</v>
      </c>
      <c r="D3" t="s">
        <v>2</v>
      </c>
      <c r="E3" s="1">
        <v>0.09</v>
      </c>
    </row>
    <row r="4" spans="1:5" x14ac:dyDescent="0.3">
      <c r="A4" t="s">
        <v>3</v>
      </c>
      <c r="B4" s="1">
        <v>0.05</v>
      </c>
      <c r="D4" t="s">
        <v>3</v>
      </c>
      <c r="E4" s="1">
        <v>0.05</v>
      </c>
    </row>
    <row r="5" spans="1:5" x14ac:dyDescent="0.3">
      <c r="A5" t="s">
        <v>4</v>
      </c>
      <c r="B5" s="3">
        <f>B1*(1+B2)/(B3-B4)</f>
        <v>78.750000000000014</v>
      </c>
      <c r="E5" s="3">
        <f>E1*(1+E2)/(E3-E4)</f>
        <v>75.000000000000014</v>
      </c>
    </row>
    <row r="8" spans="1:5" x14ac:dyDescent="0.3">
      <c r="A8" t="s">
        <v>0</v>
      </c>
      <c r="B8">
        <v>3</v>
      </c>
      <c r="D8" t="s">
        <v>0</v>
      </c>
      <c r="E8">
        <v>3</v>
      </c>
    </row>
    <row r="9" spans="1:5" x14ac:dyDescent="0.3">
      <c r="A9" t="s">
        <v>1</v>
      </c>
      <c r="B9" s="1">
        <v>0.05</v>
      </c>
      <c r="D9" t="s">
        <v>1</v>
      </c>
      <c r="E9" s="1">
        <v>0</v>
      </c>
    </row>
    <row r="10" spans="1:5" x14ac:dyDescent="0.3">
      <c r="A10" t="s">
        <v>2</v>
      </c>
      <c r="B10" s="1">
        <v>0.09</v>
      </c>
      <c r="D10" t="s">
        <v>2</v>
      </c>
      <c r="E10" s="1">
        <v>0.09</v>
      </c>
    </row>
    <row r="11" spans="1:5" x14ac:dyDescent="0.3">
      <c r="A11" t="s">
        <v>3</v>
      </c>
      <c r="B11" s="1">
        <v>0.04</v>
      </c>
      <c r="D11" t="s">
        <v>3</v>
      </c>
      <c r="E11" s="1">
        <v>0.04</v>
      </c>
    </row>
    <row r="12" spans="1:5" x14ac:dyDescent="0.3">
      <c r="A12" t="s">
        <v>4</v>
      </c>
      <c r="B12" s="3">
        <f>B8*(1+B9)/(B10-B11)</f>
        <v>63.000000000000014</v>
      </c>
      <c r="D12" t="s">
        <v>4</v>
      </c>
      <c r="E12" s="3">
        <f>E8*(1+E9)/(E10-E11)</f>
        <v>60.000000000000007</v>
      </c>
    </row>
    <row r="13" spans="1:5" x14ac:dyDescent="0.3">
      <c r="B13">
        <f>B12/B5-1</f>
        <v>-0.19999999999999996</v>
      </c>
      <c r="E13">
        <f>E12/B5-1</f>
        <v>-0.23809523809523814</v>
      </c>
    </row>
    <row r="15" spans="1:5" x14ac:dyDescent="0.3">
      <c r="A15" t="s">
        <v>0</v>
      </c>
      <c r="B15">
        <v>3</v>
      </c>
      <c r="D15" t="s">
        <v>0</v>
      </c>
      <c r="E15">
        <v>3</v>
      </c>
    </row>
    <row r="16" spans="1:5" x14ac:dyDescent="0.3">
      <c r="A16" t="s">
        <v>1</v>
      </c>
      <c r="B16" s="1">
        <v>0.05</v>
      </c>
      <c r="D16" t="s">
        <v>1</v>
      </c>
      <c r="E16" s="1">
        <v>0</v>
      </c>
    </row>
    <row r="17" spans="1:5" x14ac:dyDescent="0.3">
      <c r="A17" t="s">
        <v>2</v>
      </c>
      <c r="B17" s="1">
        <v>0.1</v>
      </c>
      <c r="D17" t="s">
        <v>2</v>
      </c>
      <c r="E17" s="1">
        <v>0.1</v>
      </c>
    </row>
    <row r="18" spans="1:5" x14ac:dyDescent="0.3">
      <c r="A18" t="s">
        <v>3</v>
      </c>
      <c r="B18" s="1">
        <v>0.04</v>
      </c>
      <c r="D18" t="s">
        <v>3</v>
      </c>
      <c r="E18" s="1">
        <v>0.04</v>
      </c>
    </row>
    <row r="19" spans="1:5" x14ac:dyDescent="0.3">
      <c r="A19" t="s">
        <v>4</v>
      </c>
      <c r="B19" s="3">
        <f>B15*(1+B16)/(B17-B18)</f>
        <v>52.5</v>
      </c>
      <c r="D19" t="s">
        <v>4</v>
      </c>
      <c r="E19" s="3">
        <f>E15*(1+E16)/(E17-E18)</f>
        <v>49.999999999999993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2"/>
  <sheetViews>
    <sheetView tabSelected="1" zoomScale="110" zoomScaleNormal="110" workbookViewId="0">
      <selection activeCell="A4" sqref="A4"/>
    </sheetView>
  </sheetViews>
  <sheetFormatPr defaultRowHeight="14.4" x14ac:dyDescent="0.3"/>
  <cols>
    <col min="1" max="1" width="12" customWidth="1"/>
    <col min="2" max="2" width="11.33203125" bestFit="1" customWidth="1"/>
    <col min="9" max="9" width="14.6640625" customWidth="1"/>
    <col min="11" max="11" width="9.21875" bestFit="1" customWidth="1"/>
    <col min="12" max="12" width="16.77734375" bestFit="1" customWidth="1"/>
    <col min="13" max="13" width="16.44140625" bestFit="1" customWidth="1"/>
    <col min="14" max="14" width="9.5546875" bestFit="1" customWidth="1"/>
  </cols>
  <sheetData>
    <row r="1" spans="1:14" x14ac:dyDescent="0.3">
      <c r="A1" t="s">
        <v>38</v>
      </c>
    </row>
    <row r="2" spans="1:14" x14ac:dyDescent="0.3">
      <c r="A2" t="s">
        <v>37</v>
      </c>
    </row>
    <row r="3" spans="1:14" x14ac:dyDescent="0.3">
      <c r="A3" t="s">
        <v>39</v>
      </c>
    </row>
    <row r="4" spans="1:14" x14ac:dyDescent="0.3">
      <c r="A4" t="s">
        <v>40</v>
      </c>
    </row>
    <row r="7" spans="1:14" x14ac:dyDescent="0.3">
      <c r="A7" t="s">
        <v>11</v>
      </c>
      <c r="J7" t="s">
        <v>32</v>
      </c>
    </row>
    <row r="8" spans="1:14" x14ac:dyDescent="0.3">
      <c r="A8" t="s">
        <v>12</v>
      </c>
      <c r="B8">
        <f>B31</f>
        <v>500</v>
      </c>
      <c r="I8" t="s">
        <v>12</v>
      </c>
      <c r="J8" s="4">
        <f>PV(J10,J11,J12,J9)</f>
        <v>-838.33686223618588</v>
      </c>
      <c r="L8" s="7">
        <f>600000000</f>
        <v>600000000</v>
      </c>
      <c r="M8" s="9">
        <f>L8/J9</f>
        <v>600000</v>
      </c>
    </row>
    <row r="9" spans="1:14" x14ac:dyDescent="0.3">
      <c r="A9" t="s">
        <v>13</v>
      </c>
      <c r="B9">
        <v>0</v>
      </c>
      <c r="I9" t="s">
        <v>13</v>
      </c>
      <c r="J9">
        <v>1000</v>
      </c>
    </row>
    <row r="10" spans="1:14" x14ac:dyDescent="0.3">
      <c r="A10" t="s">
        <v>16</v>
      </c>
      <c r="B10" s="1">
        <v>7.0000000000000007E-2</v>
      </c>
      <c r="I10" t="s">
        <v>16</v>
      </c>
      <c r="J10" s="1">
        <f>B15</f>
        <v>0.1</v>
      </c>
    </row>
    <row r="11" spans="1:14" x14ac:dyDescent="0.3">
      <c r="A11" t="s">
        <v>14</v>
      </c>
      <c r="B11">
        <v>5</v>
      </c>
      <c r="I11" t="s">
        <v>14</v>
      </c>
      <c r="J11">
        <v>4</v>
      </c>
    </row>
    <row r="12" spans="1:14" x14ac:dyDescent="0.3">
      <c r="A12" t="s">
        <v>15</v>
      </c>
      <c r="B12" s="4">
        <f>PMT(B10,B11,B8,0)</f>
        <v>-121.94534722068704</v>
      </c>
      <c r="I12" t="s">
        <v>30</v>
      </c>
      <c r="J12">
        <v>49</v>
      </c>
      <c r="M12" s="6">
        <f>M8*J8</f>
        <v>-503002117.34171152</v>
      </c>
    </row>
    <row r="15" spans="1:14" x14ac:dyDescent="0.3">
      <c r="A15" t="s">
        <v>7</v>
      </c>
      <c r="B15" s="1">
        <v>0.1</v>
      </c>
      <c r="K15" s="1"/>
    </row>
    <row r="16" spans="1:14" x14ac:dyDescent="0.3">
      <c r="C16">
        <v>0</v>
      </c>
      <c r="D16">
        <v>1</v>
      </c>
      <c r="E16">
        <v>2</v>
      </c>
      <c r="F16">
        <v>3</v>
      </c>
      <c r="G16">
        <v>4</v>
      </c>
      <c r="H16">
        <v>5</v>
      </c>
      <c r="J16">
        <v>0</v>
      </c>
      <c r="K16">
        <v>1</v>
      </c>
      <c r="L16">
        <v>2</v>
      </c>
      <c r="M16">
        <v>3</v>
      </c>
      <c r="N16">
        <v>4</v>
      </c>
    </row>
    <row r="17" spans="1:17" x14ac:dyDescent="0.3">
      <c r="D17" s="4">
        <f>-B12</f>
        <v>121.94534722068704</v>
      </c>
      <c r="E17" s="4">
        <f>D17</f>
        <v>121.94534722068704</v>
      </c>
      <c r="F17" s="4">
        <f>D17</f>
        <v>121.94534722068704</v>
      </c>
      <c r="G17" s="4">
        <f>D17</f>
        <v>121.94534722068704</v>
      </c>
      <c r="H17" s="4">
        <f>D17</f>
        <v>121.94534722068704</v>
      </c>
      <c r="K17" s="4">
        <f>J12</f>
        <v>49</v>
      </c>
      <c r="L17" s="4">
        <f>K17</f>
        <v>49</v>
      </c>
      <c r="M17" s="4">
        <f>K17</f>
        <v>49</v>
      </c>
      <c r="N17" s="4">
        <f>K17+J9</f>
        <v>1049</v>
      </c>
      <c r="O17" s="4"/>
      <c r="P17" s="4"/>
      <c r="Q17" s="4"/>
    </row>
    <row r="18" spans="1:17" x14ac:dyDescent="0.3">
      <c r="D18">
        <f>D17*D16</f>
        <v>121.94534722068704</v>
      </c>
      <c r="E18">
        <f t="shared" ref="E18:H18" si="0">E17*E16</f>
        <v>243.89069444137408</v>
      </c>
      <c r="F18">
        <f t="shared" si="0"/>
        <v>365.83604166206112</v>
      </c>
      <c r="G18">
        <f t="shared" si="0"/>
        <v>487.78138888274816</v>
      </c>
      <c r="H18">
        <f t="shared" si="0"/>
        <v>609.7267361034352</v>
      </c>
      <c r="K18" s="4">
        <f>K17*K16</f>
        <v>49</v>
      </c>
      <c r="L18" s="4">
        <f>L17*L16</f>
        <v>98</v>
      </c>
      <c r="M18" s="4">
        <f>M17*M16</f>
        <v>147</v>
      </c>
      <c r="N18">
        <f t="shared" ref="N18" si="1">N17*N16</f>
        <v>4196</v>
      </c>
    </row>
    <row r="19" spans="1:17" x14ac:dyDescent="0.3">
      <c r="D19">
        <f>(1+$B$15)^D16</f>
        <v>1.1000000000000001</v>
      </c>
      <c r="E19">
        <f>(1+$B$15)^E16</f>
        <v>1.2100000000000002</v>
      </c>
      <c r="F19">
        <f>(1+$B$15)^F16</f>
        <v>1.3310000000000004</v>
      </c>
      <c r="G19">
        <f>(1+$B$15)^G16</f>
        <v>1.4641000000000004</v>
      </c>
      <c r="H19">
        <f>(1+$B$15)^H16</f>
        <v>1.6105100000000006</v>
      </c>
      <c r="K19">
        <f>(1+$B$15)^K16</f>
        <v>1.1000000000000001</v>
      </c>
      <c r="L19">
        <f>(1+$B$15)^L16</f>
        <v>1.2100000000000002</v>
      </c>
      <c r="M19">
        <f>(1+$B$15)^M16</f>
        <v>1.3310000000000004</v>
      </c>
      <c r="N19">
        <f>(1+$B$15)^N16</f>
        <v>1.4641000000000004</v>
      </c>
    </row>
    <row r="21" spans="1:17" x14ac:dyDescent="0.3">
      <c r="A21" t="s">
        <v>19</v>
      </c>
      <c r="C21">
        <f>SUM(D21:H21)</f>
        <v>462.26880883509961</v>
      </c>
      <c r="D21">
        <f>D17/D19</f>
        <v>110.85940656426094</v>
      </c>
      <c r="E21">
        <f t="shared" ref="E21:H21" si="2">E17/E19</f>
        <v>100.78127869478266</v>
      </c>
      <c r="F21">
        <f t="shared" si="2"/>
        <v>91.619344267984218</v>
      </c>
      <c r="G21">
        <f t="shared" si="2"/>
        <v>83.290312970894746</v>
      </c>
      <c r="H21">
        <f t="shared" si="2"/>
        <v>75.718466337177048</v>
      </c>
      <c r="J21">
        <f>SUM(K21:O21)</f>
        <v>838.33686223618588</v>
      </c>
      <c r="K21">
        <f>K17/K19</f>
        <v>44.54545454545454</v>
      </c>
      <c r="L21">
        <f t="shared" ref="L21:N21" si="3">L17/L19</f>
        <v>40.495867768595033</v>
      </c>
      <c r="M21">
        <f t="shared" si="3"/>
        <v>36.814425244177301</v>
      </c>
      <c r="N21">
        <f t="shared" si="3"/>
        <v>716.481114677959</v>
      </c>
    </row>
    <row r="22" spans="1:17" x14ac:dyDescent="0.3">
      <c r="A22" t="s">
        <v>20</v>
      </c>
      <c r="C22">
        <f>SUM(D22:H22)</f>
        <v>1299.033580327243</v>
      </c>
      <c r="D22">
        <f>D18/D19</f>
        <v>110.85940656426094</v>
      </c>
      <c r="E22">
        <f t="shared" ref="E22:H22" si="4">E18/E19</f>
        <v>201.56255738956531</v>
      </c>
      <c r="F22">
        <f t="shared" si="4"/>
        <v>274.85803280395265</v>
      </c>
      <c r="G22">
        <f t="shared" si="4"/>
        <v>333.16125188357898</v>
      </c>
      <c r="H22">
        <f t="shared" si="4"/>
        <v>378.5923316858852</v>
      </c>
      <c r="J22">
        <f>SUM(K22:O22)</f>
        <v>3101.9049245270126</v>
      </c>
      <c r="K22">
        <f>K18/K19</f>
        <v>44.54545454545454</v>
      </c>
      <c r="L22">
        <f t="shared" ref="L22:N22" si="5">L18/L19</f>
        <v>80.991735537190067</v>
      </c>
      <c r="M22">
        <f t="shared" si="5"/>
        <v>110.4432757325319</v>
      </c>
      <c r="N22">
        <f t="shared" si="5"/>
        <v>2865.924458711836</v>
      </c>
    </row>
    <row r="24" spans="1:17" x14ac:dyDescent="0.3">
      <c r="A24" t="s">
        <v>23</v>
      </c>
      <c r="C24" s="2">
        <f>C22/C21</f>
        <v>2.8101259602627309</v>
      </c>
      <c r="J24" s="2">
        <f>J22/J21</f>
        <v>3.7000698218768151</v>
      </c>
    </row>
    <row r="26" spans="1:17" x14ac:dyDescent="0.3">
      <c r="D26" t="s">
        <v>25</v>
      </c>
      <c r="L26" t="s">
        <v>26</v>
      </c>
    </row>
    <row r="27" spans="1:17" x14ac:dyDescent="0.3">
      <c r="B27" t="s">
        <v>5</v>
      </c>
      <c r="C27" t="s">
        <v>6</v>
      </c>
      <c r="D27" t="s">
        <v>18</v>
      </c>
      <c r="E27" t="s">
        <v>21</v>
      </c>
      <c r="F27" t="s">
        <v>22</v>
      </c>
      <c r="J27" t="s">
        <v>5</v>
      </c>
      <c r="K27" t="s">
        <v>6</v>
      </c>
      <c r="L27" t="s">
        <v>18</v>
      </c>
      <c r="M27" t="s">
        <v>21</v>
      </c>
      <c r="N27" t="s">
        <v>22</v>
      </c>
    </row>
    <row r="29" spans="1:17" x14ac:dyDescent="0.3">
      <c r="A29" t="s">
        <v>8</v>
      </c>
      <c r="B29">
        <v>200</v>
      </c>
      <c r="C29">
        <v>200</v>
      </c>
      <c r="D29">
        <v>0</v>
      </c>
      <c r="E29" s="5">
        <f>C29/$C$32</f>
        <v>0.21390463975613813</v>
      </c>
      <c r="F29">
        <f>E29*D29</f>
        <v>0</v>
      </c>
      <c r="I29" t="s">
        <v>27</v>
      </c>
      <c r="J29">
        <v>300</v>
      </c>
      <c r="K29">
        <v>300</v>
      </c>
      <c r="L29">
        <v>0</v>
      </c>
      <c r="M29">
        <f>K29/K31</f>
        <v>0.37359801863677683</v>
      </c>
      <c r="N29">
        <f>M29*L29</f>
        <v>0</v>
      </c>
    </row>
    <row r="30" spans="1:17" x14ac:dyDescent="0.3">
      <c r="A30" t="s">
        <v>9</v>
      </c>
      <c r="B30">
        <v>300</v>
      </c>
      <c r="C30">
        <f>B30/(1+B15)</f>
        <v>272.72727272727269</v>
      </c>
      <c r="D30">
        <v>1</v>
      </c>
      <c r="E30" s="5">
        <f t="shared" ref="E30:E31" si="6">C30/$C$32</f>
        <v>0.29168814512200653</v>
      </c>
      <c r="F30">
        <f t="shared" ref="F30:F31" si="7">E30*D30</f>
        <v>0.29168814512200653</v>
      </c>
      <c r="I30" t="s">
        <v>28</v>
      </c>
      <c r="J30">
        <v>600</v>
      </c>
      <c r="K30" s="8">
        <f>-M12/1000000</f>
        <v>503.00211734171154</v>
      </c>
      <c r="L30">
        <f>J24</f>
        <v>3.7000698218768151</v>
      </c>
      <c r="M30" s="10">
        <f>K30/K31</f>
        <v>0.62640198136322323</v>
      </c>
      <c r="N30">
        <f>M30*L30</f>
        <v>2.3177310676059055</v>
      </c>
      <c r="O30">
        <f>SUM(N29:N30)</f>
        <v>2.3177310676059055</v>
      </c>
    </row>
    <row r="31" spans="1:17" x14ac:dyDescent="0.3">
      <c r="A31" t="s">
        <v>10</v>
      </c>
      <c r="B31">
        <v>500</v>
      </c>
      <c r="C31">
        <f>C21</f>
        <v>462.26880883509961</v>
      </c>
      <c r="D31">
        <f>C24</f>
        <v>2.8101259602627309</v>
      </c>
      <c r="E31" s="5">
        <f t="shared" si="6"/>
        <v>0.49440721512185537</v>
      </c>
      <c r="F31">
        <f t="shared" si="7"/>
        <v>1.3893465501551263</v>
      </c>
      <c r="I31" t="s">
        <v>31</v>
      </c>
      <c r="J31">
        <f>SUM(J29:J30)</f>
        <v>900</v>
      </c>
      <c r="K31">
        <f>SUM(K29:K30)</f>
        <v>803.00211734171148</v>
      </c>
    </row>
    <row r="32" spans="1:17" x14ac:dyDescent="0.3">
      <c r="A32" t="s">
        <v>17</v>
      </c>
      <c r="B32">
        <f>SUM(B29:B31)</f>
        <v>1000</v>
      </c>
      <c r="C32">
        <f>SUM(C29:C31)</f>
        <v>934.9960815623723</v>
      </c>
      <c r="E32" s="5">
        <f>SUM(E29:E31)</f>
        <v>1</v>
      </c>
      <c r="F32" s="2">
        <f>SUM(F29:F31)</f>
        <v>1.6810346952771329</v>
      </c>
      <c r="I32" t="s">
        <v>29</v>
      </c>
      <c r="J32">
        <f>B32-J31</f>
        <v>100</v>
      </c>
      <c r="K32" s="6">
        <f>C32-K31</f>
        <v>131.99396422066081</v>
      </c>
    </row>
    <row r="34" spans="1:12" x14ac:dyDescent="0.3">
      <c r="A34" t="s">
        <v>24</v>
      </c>
      <c r="F34" s="2">
        <f>F32</f>
        <v>1.6810346952771329</v>
      </c>
    </row>
    <row r="36" spans="1:12" x14ac:dyDescent="0.3">
      <c r="C36" t="s">
        <v>33</v>
      </c>
      <c r="F36" s="1">
        <f>B15</f>
        <v>0.1</v>
      </c>
      <c r="K36">
        <f>K31/C32</f>
        <v>0.85882939316697482</v>
      </c>
      <c r="L36">
        <f>K36*N30</f>
        <v>1.9905355663162245</v>
      </c>
    </row>
    <row r="37" spans="1:12" x14ac:dyDescent="0.3">
      <c r="D37" t="s">
        <v>34</v>
      </c>
      <c r="F37" s="1">
        <v>0.12</v>
      </c>
    </row>
    <row r="39" spans="1:12" x14ac:dyDescent="0.3">
      <c r="B39" t="s">
        <v>35</v>
      </c>
    </row>
    <row r="41" spans="1:12" x14ac:dyDescent="0.3">
      <c r="B41" t="s">
        <v>36</v>
      </c>
      <c r="C41">
        <f xml:space="preserve"> -(F34-K31/C32*N30)*C32*(F37-F36)/(1+F36)</f>
        <v>5.2614927574853017</v>
      </c>
      <c r="E41">
        <f>F32-K31/C32*N30</f>
        <v>-0.30950087103909163</v>
      </c>
    </row>
    <row r="42" spans="1:12" x14ac:dyDescent="0.3">
      <c r="C42" t="e">
        <f xml:space="preserve"> -(F35-K32/C33*N31)*C33*(F38-F37)/(1+F37)</f>
        <v>#DIV/0!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DocumentLibraryPermissions xmlns="84b68f01-cf09-4c10-b8f7-f0d70d0e56f2" xsi:nil="true"/>
    <_activity xmlns="84b68f01-cf09-4c10-b8f7-f0d70d0e56f2" xsi:nil="true"/>
    <MigrationWizIdPermissions xmlns="84b68f01-cf09-4c10-b8f7-f0d70d0e56f2" xsi:nil="true"/>
    <MigrationWizIdPermissionLevels xmlns="84b68f01-cf09-4c10-b8f7-f0d70d0e56f2" xsi:nil="true"/>
    <MigrationWizId xmlns="84b68f01-cf09-4c10-b8f7-f0d70d0e56f2" xsi:nil="true"/>
    <MigrationWizIdSecurityGroups xmlns="84b68f01-cf09-4c10-b8f7-f0d70d0e56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2C8666E3F3D74A96333E36C0F5E48D" ma:contentTypeVersion="19" ma:contentTypeDescription="Create a new document." ma:contentTypeScope="" ma:versionID="8e26f0c3c51bb96dc492eb81d3ef9c71">
  <xsd:schema xmlns:xsd="http://www.w3.org/2001/XMLSchema" xmlns:xs="http://www.w3.org/2001/XMLSchema" xmlns:p="http://schemas.microsoft.com/office/2006/metadata/properties" xmlns:ns3="84b68f01-cf09-4c10-b8f7-f0d70d0e56f2" xmlns:ns4="b5516c07-92d9-47f2-bbcb-3514dcb65049" targetNamespace="http://schemas.microsoft.com/office/2006/metadata/properties" ma:root="true" ma:fieldsID="1085b671a595a6fa5b95ce2223bc45e2" ns3:_="" ns4:_="">
    <xsd:import namespace="84b68f01-cf09-4c10-b8f7-f0d70d0e56f2"/>
    <xsd:import namespace="b5516c07-92d9-47f2-bbcb-3514dcb65049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68f01-cf09-4c10-b8f7-f0d70d0e56f2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16c07-92d9-47f2-bbcb-3514dcb65049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E8ECA3-5AB0-4FC1-A54D-0C2181945558}">
  <ds:schemaRefs>
    <ds:schemaRef ds:uri="http://schemas.microsoft.com/office/2006/documentManagement/types"/>
    <ds:schemaRef ds:uri="84b68f01-cf09-4c10-b8f7-f0d70d0e56f2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b5516c07-92d9-47f2-bbcb-3514dcb6504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398ED4-82A9-4211-946E-3FD1D2CA8A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E0CE38-BB83-4AB2-91D0-7838AF062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b68f01-cf09-4c10-b8f7-f0d70d0e56f2"/>
    <ds:schemaRef ds:uri="b5516c07-92d9-47f2-bbcb-3514dcb650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 Example</vt:lpstr>
      <vt:lpstr>Duration of 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Goldstein</dc:creator>
  <cp:lastModifiedBy>Michael Goldstein</cp:lastModifiedBy>
  <dcterms:created xsi:type="dcterms:W3CDTF">2025-04-08T20:17:12Z</dcterms:created>
  <dcterms:modified xsi:type="dcterms:W3CDTF">2025-04-10T22:15:30Z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306a34-4f90-403b-9fff-d1d3d6603342_Enabled">
    <vt:lpwstr>true</vt:lpwstr>
  </property>
  <property fmtid="{D5CDD505-2E9C-101B-9397-08002B2CF9AE}" pid="3" name="MSIP_Label_8b306a34-4f90-403b-9fff-d1d3d6603342_SetDate">
    <vt:lpwstr>2025-04-08T20:38:03Z</vt:lpwstr>
  </property>
  <property fmtid="{D5CDD505-2E9C-101B-9397-08002B2CF9AE}" pid="4" name="MSIP_Label_8b306a34-4f90-403b-9fff-d1d3d6603342_Method">
    <vt:lpwstr>Standard</vt:lpwstr>
  </property>
  <property fmtid="{D5CDD505-2E9C-101B-9397-08002B2CF9AE}" pid="5" name="MSIP_Label_8b306a34-4f90-403b-9fff-d1d3d6603342_Name">
    <vt:lpwstr>General</vt:lpwstr>
  </property>
  <property fmtid="{D5CDD505-2E9C-101B-9397-08002B2CF9AE}" pid="6" name="MSIP_Label_8b306a34-4f90-403b-9fff-d1d3d6603342_SiteId">
    <vt:lpwstr>e83d2ad7-3bcd-4d5c-9d6c-6ffa1a4434bf</vt:lpwstr>
  </property>
  <property fmtid="{D5CDD505-2E9C-101B-9397-08002B2CF9AE}" pid="7" name="MSIP_Label_8b306a34-4f90-403b-9fff-d1d3d6603342_ActionId">
    <vt:lpwstr>62d79e10-f3ce-4259-9780-34670b250ae4</vt:lpwstr>
  </property>
  <property fmtid="{D5CDD505-2E9C-101B-9397-08002B2CF9AE}" pid="8" name="MSIP_Label_8b306a34-4f90-403b-9fff-d1d3d6603342_ContentBits">
    <vt:lpwstr>0</vt:lpwstr>
  </property>
  <property fmtid="{D5CDD505-2E9C-101B-9397-08002B2CF9AE}" pid="9" name="MSIP_Label_8b306a34-4f90-403b-9fff-d1d3d6603342_Tag">
    <vt:lpwstr>10, 3, 0, 1</vt:lpwstr>
  </property>
  <property fmtid="{D5CDD505-2E9C-101B-9397-08002B2CF9AE}" pid="10" name="ContentTypeId">
    <vt:lpwstr>0x010100A12C8666E3F3D74A96333E36C0F5E48D</vt:lpwstr>
  </property>
</Properties>
</file>